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jcsicsné Hajni\Documents\2025. év\2025. I. félév\"/>
    </mc:Choice>
  </mc:AlternateContent>
  <xr:revisionPtr revIDLastSave="0" documentId="13_ncr:1_{A006F8EF-47A6-4FCF-949A-CF11E85E5C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Összesítő" sheetId="2" r:id="rId1"/>
    <sheet name="IGAZGATÁS, ADÓ, KÖZT.F." sheetId="1" r:id="rId2"/>
    <sheet name="062020" sheetId="6" r:id="rId3"/>
    <sheet name="018030" sheetId="12" r:id="rId4"/>
  </sheets>
  <definedNames>
    <definedName name="_xlnm.Print_Area" localSheetId="1">'IGAZGATÁS, ADÓ, KÖZT.F.'!$A$1:$F$88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62" i="1"/>
  <c r="F74" i="1"/>
  <c r="F71" i="1"/>
  <c r="E58" i="1"/>
  <c r="D58" i="1"/>
  <c r="F22" i="1"/>
  <c r="F4" i="6"/>
  <c r="F43" i="1"/>
  <c r="F44" i="1"/>
  <c r="F5" i="1"/>
  <c r="E64" i="1"/>
  <c r="E60" i="1"/>
  <c r="E53" i="1"/>
  <c r="E46" i="1"/>
  <c r="E49" i="1"/>
  <c r="E56" i="1"/>
  <c r="F21" i="1"/>
  <c r="F24" i="1"/>
  <c r="F25" i="1"/>
  <c r="F27" i="1"/>
  <c r="F28" i="1"/>
  <c r="D20" i="1"/>
  <c r="D17" i="1"/>
  <c r="D19" i="1"/>
  <c r="D15" i="1"/>
  <c r="E17" i="1"/>
  <c r="E20" i="1"/>
  <c r="E15" i="1"/>
  <c r="E16" i="1"/>
  <c r="E23" i="1"/>
  <c r="F23" i="1" s="1"/>
  <c r="F10" i="1" l="1"/>
  <c r="D26" i="1"/>
  <c r="F26" i="1" s="1"/>
  <c r="D33" i="1"/>
  <c r="D40" i="1"/>
  <c r="D56" i="1"/>
  <c r="D36" i="1"/>
  <c r="D12" i="12"/>
  <c r="D13" i="1"/>
  <c r="D45" i="1"/>
  <c r="D59" i="1"/>
  <c r="F59" i="1" s="1"/>
  <c r="D81" i="1" l="1"/>
  <c r="D73" i="1"/>
  <c r="D5" i="6"/>
  <c r="D64" i="1"/>
  <c r="D61" i="1"/>
  <c r="D12" i="1"/>
  <c r="C64" i="1"/>
  <c r="F8" i="1"/>
  <c r="F9" i="1"/>
  <c r="E5" i="6"/>
  <c r="C5" i="6"/>
  <c r="D66" i="1" l="1"/>
  <c r="F7" i="1"/>
  <c r="F6" i="1"/>
  <c r="F57" i="1"/>
  <c r="F48" i="1"/>
  <c r="F49" i="1"/>
  <c r="F51" i="1"/>
  <c r="F54" i="1"/>
  <c r="F55" i="1"/>
  <c r="F56" i="1"/>
  <c r="F34" i="1"/>
  <c r="F42" i="1"/>
  <c r="F20" i="1"/>
  <c r="F19" i="1"/>
  <c r="F18" i="1"/>
  <c r="F17" i="1"/>
  <c r="F16" i="1"/>
  <c r="F15" i="1"/>
  <c r="F14" i="1"/>
  <c r="F11" i="1"/>
  <c r="F60" i="1"/>
  <c r="F47" i="1"/>
  <c r="E8" i="6"/>
  <c r="G7" i="2" s="1"/>
  <c r="D8" i="6"/>
  <c r="F7" i="2" s="1"/>
  <c r="E81" i="1"/>
  <c r="C81" i="1"/>
  <c r="E73" i="1"/>
  <c r="F73" i="1" s="1"/>
  <c r="C73" i="1"/>
  <c r="E61" i="1"/>
  <c r="F41" i="1"/>
  <c r="F40" i="1"/>
  <c r="F39" i="1"/>
  <c r="C33" i="1"/>
  <c r="H7" i="2" l="1"/>
  <c r="E12" i="1"/>
  <c r="E66" i="1" s="1"/>
  <c r="C83" i="1"/>
  <c r="E12" i="2" s="1"/>
  <c r="E83" i="1"/>
  <c r="D83" i="1"/>
  <c r="F12" i="2" s="1"/>
  <c r="F81" i="1"/>
  <c r="F83" i="1" l="1"/>
  <c r="G12" i="2"/>
  <c r="F6" i="2"/>
  <c r="F63" i="1"/>
  <c r="C61" i="1"/>
  <c r="F58" i="1"/>
  <c r="F46" i="1"/>
  <c r="F45" i="1"/>
  <c r="F38" i="1"/>
  <c r="F37" i="1"/>
  <c r="F36" i="1"/>
  <c r="F35" i="1"/>
  <c r="F33" i="1"/>
  <c r="F32" i="1"/>
  <c r="F31" i="1"/>
  <c r="F29" i="1"/>
  <c r="F13" i="1"/>
  <c r="C12" i="1"/>
  <c r="D14" i="12"/>
  <c r="D16" i="12" s="1"/>
  <c r="F13" i="2" s="1"/>
  <c r="F14" i="2" s="1"/>
  <c r="E14" i="12"/>
  <c r="E16" i="12" s="1"/>
  <c r="G13" i="2" s="1"/>
  <c r="C14" i="12"/>
  <c r="C16" i="12" s="1"/>
  <c r="E13" i="2" s="1"/>
  <c r="E14" i="2" s="1"/>
  <c r="E7" i="12"/>
  <c r="D7" i="12"/>
  <c r="C8" i="6"/>
  <c r="E7" i="2" s="1"/>
  <c r="F6" i="6"/>
  <c r="C66" i="1" l="1"/>
  <c r="H13" i="2"/>
  <c r="G14" i="2"/>
  <c r="H14" i="2" s="1"/>
  <c r="H12" i="2"/>
  <c r="F61" i="1"/>
  <c r="F64" i="1"/>
  <c r="E6" i="2"/>
  <c r="F12" i="1"/>
  <c r="F4" i="1"/>
  <c r="G6" i="2"/>
  <c r="H6" i="2" s="1"/>
  <c r="F5" i="6"/>
  <c r="F66" i="1" l="1"/>
  <c r="F13" i="12" l="1"/>
  <c r="F12" i="12"/>
  <c r="C7" i="12"/>
  <c r="F14" i="12" l="1"/>
  <c r="F8" i="6"/>
  <c r="F16" i="12" l="1"/>
  <c r="G8" i="2"/>
  <c r="E8" i="2" l="1"/>
  <c r="F8" i="2" l="1"/>
  <c r="H8" i="2" s="1"/>
</calcChain>
</file>

<file path=xl/sharedStrings.xml><?xml version="1.0" encoding="utf-8"?>
<sst xmlns="http://schemas.openxmlformats.org/spreadsheetml/2006/main" count="176" uniqueCount="138">
  <si>
    <t>K1101</t>
  </si>
  <si>
    <t>Megnevezés</t>
  </si>
  <si>
    <t>Eredeti ei.</t>
  </si>
  <si>
    <t xml:space="preserve">Módosított ei. </t>
  </si>
  <si>
    <t>Teljesítés</t>
  </si>
  <si>
    <t>Teljesítés %-a</t>
  </si>
  <si>
    <t>K1113</t>
  </si>
  <si>
    <t>K123</t>
  </si>
  <si>
    <t>Reprezentációs kiadások</t>
  </si>
  <si>
    <t>K1</t>
  </si>
  <si>
    <t>Személyi juttatások összesen</t>
  </si>
  <si>
    <t>K2</t>
  </si>
  <si>
    <t>Munkaadót terhelő járulékok és szociális hj. adó</t>
  </si>
  <si>
    <t>KIADÁSOK</t>
  </si>
  <si>
    <t>K312</t>
  </si>
  <si>
    <t>K321</t>
  </si>
  <si>
    <t>K322</t>
  </si>
  <si>
    <t>K334</t>
  </si>
  <si>
    <t>K336</t>
  </si>
  <si>
    <t>K337</t>
  </si>
  <si>
    <t>K341</t>
  </si>
  <si>
    <t>Belföldi kiküldetés</t>
  </si>
  <si>
    <t>K351</t>
  </si>
  <si>
    <t>Műk. c. előzetesen felszámított Áfa</t>
  </si>
  <si>
    <t>K355</t>
  </si>
  <si>
    <t>K3</t>
  </si>
  <si>
    <t>Dologi kiadások összesen:</t>
  </si>
  <si>
    <t>KIADÁSOK MINDÖSSZESEN:</t>
  </si>
  <si>
    <t>BEVÉTELEK</t>
  </si>
  <si>
    <t>Kormányzati funkció</t>
  </si>
  <si>
    <t>018030</t>
  </si>
  <si>
    <t>Támogatási célú finanszírozási műveletek</t>
  </si>
  <si>
    <t xml:space="preserve"> Eredeti előirányzat</t>
  </si>
  <si>
    <t>Módosított előirányzat</t>
  </si>
  <si>
    <t>BEVÉTELEK MINDÖSSZESEN:</t>
  </si>
  <si>
    <t>K3311</t>
  </si>
  <si>
    <t>K3312</t>
  </si>
  <si>
    <t>K3314</t>
  </si>
  <si>
    <t>B406</t>
  </si>
  <si>
    <t>Kiszámlázott Áfa</t>
  </si>
  <si>
    <t>K6</t>
  </si>
  <si>
    <t>Beruházások összesen</t>
  </si>
  <si>
    <t>K311</t>
  </si>
  <si>
    <t>Villamos energia szolg. díja</t>
  </si>
  <si>
    <t>Gázenergia szolg. díja</t>
  </si>
  <si>
    <t>Víz- és csatorna díja</t>
  </si>
  <si>
    <t>Betegszabadság</t>
  </si>
  <si>
    <t>Kiadások összesen:</t>
  </si>
  <si>
    <t>Bevételek összesen:</t>
  </si>
  <si>
    <t>Bankszámla hozzájárulás</t>
  </si>
  <si>
    <t>K1109</t>
  </si>
  <si>
    <t>K64,67</t>
  </si>
  <si>
    <t>Közlekedési költségtérítés</t>
  </si>
  <si>
    <t>B8131</t>
  </si>
  <si>
    <t>Előző évi költségv. maradvány igénybevétele</t>
  </si>
  <si>
    <t>B816</t>
  </si>
  <si>
    <t>Központi, irányító szervi támogatás</t>
  </si>
  <si>
    <t>B8</t>
  </si>
  <si>
    <t>Finanszírozási bevételek</t>
  </si>
  <si>
    <t>062020</t>
  </si>
  <si>
    <t>Településfejlesztési projektek és támogatásuk</t>
  </si>
  <si>
    <t>Köztisztviselők illetménye</t>
  </si>
  <si>
    <t>K1103</t>
  </si>
  <si>
    <t>K1107</t>
  </si>
  <si>
    <t>Köztisztviselők cafetéria juttatása</t>
  </si>
  <si>
    <t>Anyakönyvvezető és szertartássegéd díjazása</t>
  </si>
  <si>
    <t>Könyv, folyóirat beszerzése</t>
  </si>
  <si>
    <t>Irodaszer, nyomtatvány beszerzés</t>
  </si>
  <si>
    <t>Tonerek, tintapatron, írható CD, DVD</t>
  </si>
  <si>
    <t xml:space="preserve">Épületkarbant. anyagktg. </t>
  </si>
  <si>
    <t>Számítógép karbantartáshoz alkatrész</t>
  </si>
  <si>
    <t>Toalettpapír, kéztörlő, fertőtlenítőszerek stb.</t>
  </si>
  <si>
    <t>Win Szoc szoftver átalánydíjas jogszabálykövetés</t>
  </si>
  <si>
    <t>WIKT (MAGÓ Kft.) ügyiratkezelő rendszer átalánydíja</t>
  </si>
  <si>
    <t xml:space="preserve">Riasztó felügyelet (Halas-Pajzs) figy. szolg. 10000 Ft  + Áfa /negyedév  </t>
  </si>
  <si>
    <t>Adatállomány (önkormányzati vállalkozás-figyelés) OPTEN Kft.</t>
  </si>
  <si>
    <t>Vizuál Regiszter szolg. díj 126.922,- Ft/év + inf. emelés (eKözig.)</t>
  </si>
  <si>
    <t>Levelezőrendszer (E-mail szerver) program havidíj: 22.000 Ft/hó (Rózsa Csaba e.v.) Áfa mentes MAIL szerver üzemeltetés</t>
  </si>
  <si>
    <t>Távoli hozzáférés díja (Kecskeméti Zoltán E.V.) Áfa mentes</t>
  </si>
  <si>
    <t>Rendszergazda 355.610,- Ft/hó (K. Zoltán E. V.) Áfa mentes</t>
  </si>
  <si>
    <t>Telefondíj</t>
  </si>
  <si>
    <t>Számítógépek, nyomtatók karbantart., kisjav.</t>
  </si>
  <si>
    <t>Riasztó, kamera és beléptető rendszer eseti karbantartása</t>
  </si>
  <si>
    <t>Kisgépek javítása, karbantartása (porszívó, kávéfőző, vízmelegítő, poroltó)</t>
  </si>
  <si>
    <t>Polgármesteri Hivatal - gázkazán karbantartás</t>
  </si>
  <si>
    <t>Csekknyomtatás (LGT-Net Kft.)</t>
  </si>
  <si>
    <t>Postai szolgáltatás díja (levél, csomag, távirat), postai feladási díj</t>
  </si>
  <si>
    <t xml:space="preserve">Szemétszállítás díj (összesen 4 db kuka)                                                  </t>
  </si>
  <si>
    <t>Kéményseprő ipari szolgáltatás (Tűzker Bt.)</t>
  </si>
  <si>
    <t>Tűo. készülékek alapkarbantartása</t>
  </si>
  <si>
    <t>Takarítási szolgáltatás 460 eFt/hó (Áfa mentes)</t>
  </si>
  <si>
    <t>Kiszállási díjak</t>
  </si>
  <si>
    <t>011130 011220  031030</t>
  </si>
  <si>
    <t>Önkormányzatok és önk. hivatalok jogalkotó és ált. igazgatási tevékenysége,Adó- vám- és jövedéki igazgatás,  közterület rendjének fenntartása</t>
  </si>
  <si>
    <t>B36</t>
  </si>
  <si>
    <t>Igazgatási szolg. díj (telephely engedélyezési eljárás díja)</t>
  </si>
  <si>
    <t>B402</t>
  </si>
  <si>
    <t>Anyakönyvi szolgáltatás díjbevétele</t>
  </si>
  <si>
    <t>B403</t>
  </si>
  <si>
    <t>B408</t>
  </si>
  <si>
    <t>Kamatbevételek</t>
  </si>
  <si>
    <t>B411</t>
  </si>
  <si>
    <t>Egyéb működési bevételek (kerekítés)</t>
  </si>
  <si>
    <t>B3</t>
  </si>
  <si>
    <t>Közhatalmi bevételek</t>
  </si>
  <si>
    <t>B4</t>
  </si>
  <si>
    <t>Működési bevételek</t>
  </si>
  <si>
    <t>011130 011220 031030</t>
  </si>
  <si>
    <t>TOP PLUSZ 1.1.1…00001 Piac felújítás pr. céljuttatás (2fő)</t>
  </si>
  <si>
    <t xml:space="preserve"> </t>
  </si>
  <si>
    <t>Céljuttatás (Koncz-Gáspár Leila)</t>
  </si>
  <si>
    <t>K352</t>
  </si>
  <si>
    <t>Fizetendő Áfa</t>
  </si>
  <si>
    <t>Polgármesteri Hivatal</t>
  </si>
  <si>
    <t>Egyéb közhatalmi bevételek (esküvői külön szolg, névadó)</t>
  </si>
  <si>
    <t>Fogy.vill.en.igénybej.tájékoztatás - kötbér bev.</t>
  </si>
  <si>
    <t xml:space="preserve">Tanfolyamok, értekezletek, </t>
  </si>
  <si>
    <t>Befizetett villamosenergiadíj visszatérítése</t>
  </si>
  <si>
    <t>Egyéb készlet (hímzett szalag, hosszabbító, korszorú stb.)</t>
  </si>
  <si>
    <t>OTP Számlakezelési költség, forgalmi különdíj, pénzforg.jutalék, kifiz. utalványok ktg-e, postai közreműk. díj</t>
  </si>
  <si>
    <t xml:space="preserve"> 2025. év</t>
  </si>
  <si>
    <t>Tisztítószerek</t>
  </si>
  <si>
    <t>Foglalkozás eü. szolg. 24 fő x 6.000,- Ft/fő</t>
  </si>
  <si>
    <t>Közigazgatási alapvizsga díja  - illetményalap x ( 3 fő ) Áfa mentes</t>
  </si>
  <si>
    <t>K63,67</t>
  </si>
  <si>
    <t>Tablet beszerzés</t>
  </si>
  <si>
    <t>Épület karbantartás munkadíja (duguláselhárítás, zárjavítás, villanyszerelés, ablaküvegezés, klíma karbantartás, nagyterem festése)</t>
  </si>
  <si>
    <t>Mobil internet (One Magyarország Zrt.) ~6700 Ft/hó</t>
  </si>
  <si>
    <t>Egyéb gépek karbantartásához alkatrész</t>
  </si>
  <si>
    <t>Internet díj Béke tér 1. -TARR Kft.</t>
  </si>
  <si>
    <t>E-hiteles térképmásolat</t>
  </si>
  <si>
    <t>Szakmai szolgáltatás - tanácsadás (Ritek Zrt.)</t>
  </si>
  <si>
    <t>Egyéb (kulcsmásoltatás,  szerzői jogdíjak,  stb.)</t>
  </si>
  <si>
    <t>Egyéb dologi kiadások (igazgatási szolg. díj, kerekítési különbözet, előző évi táppénz helyesbítés stb.)</t>
  </si>
  <si>
    <t>Informatikai eszközök beszerzése (TP-Link Wifi)</t>
  </si>
  <si>
    <r>
      <t xml:space="preserve">Közterület felügyelő ruházat </t>
    </r>
    <r>
      <rPr>
        <sz val="8"/>
        <color theme="1"/>
        <rFont val="Calibri"/>
        <family val="2"/>
        <charset val="238"/>
        <scheme val="minor"/>
      </rPr>
      <t>(031030 COFOG)</t>
    </r>
  </si>
  <si>
    <t>Közvetített szolgáltatások bevétele (J. Sz.)</t>
  </si>
  <si>
    <t>Teljesítés 2025.06.30-ig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</si>
</sst>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49" fontId="2" fillId="0" borderId="0" xfId="0" applyNumberFormat="1" applyFont="1"/>
    <xf numFmtId="0" fontId="2" fillId="0" borderId="0" xfId="0" applyFon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164" fontId="14" fillId="0" borderId="1" xfId="0" applyNumberFormat="1" applyFont="1" applyBorder="1" applyAlignment="1">
      <alignment vertical="center"/>
    </xf>
    <xf numFmtId="0" fontId="6" fillId="0" borderId="0" xfId="0" applyFont="1"/>
    <xf numFmtId="0" fontId="10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0" fillId="0" borderId="0" xfId="0" applyAlignment="1">
      <alignment wrapText="1"/>
    </xf>
    <xf numFmtId="3" fontId="0" fillId="0" borderId="0" xfId="0" applyNumberFormat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7" fillId="3" borderId="0" xfId="1" applyFont="1" applyFill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0" fontId="13" fillId="0" borderId="1" xfId="0" applyNumberFormat="1" applyFont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/>
    </xf>
    <xf numFmtId="10" fontId="14" fillId="0" borderId="5" xfId="0" applyNumberFormat="1" applyFont="1" applyBorder="1" applyAlignment="1">
      <alignment horizontal="right" vertical="center"/>
    </xf>
    <xf numFmtId="10" fontId="13" fillId="0" borderId="5" xfId="0" applyNumberFormat="1" applyFont="1" applyBorder="1" applyAlignment="1">
      <alignment horizontal="right" vertical="center"/>
    </xf>
    <xf numFmtId="10" fontId="14" fillId="0" borderId="0" xfId="0" applyNumberFormat="1" applyFont="1" applyAlignment="1">
      <alignment horizontal="right" vertical="center"/>
    </xf>
    <xf numFmtId="3" fontId="17" fillId="0" borderId="0" xfId="0" applyNumberFormat="1" applyFont="1"/>
    <xf numFmtId="164" fontId="13" fillId="3" borderId="1" xfId="0" applyNumberFormat="1" applyFont="1" applyFill="1" applyBorder="1" applyAlignment="1">
      <alignment horizontal="right" vertical="center"/>
    </xf>
    <xf numFmtId="164" fontId="14" fillId="3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3" fontId="18" fillId="0" borderId="0" xfId="0" applyNumberFormat="1" applyFont="1" applyAlignment="1">
      <alignment horizontal="right" vertical="center"/>
    </xf>
    <xf numFmtId="3" fontId="18" fillId="0" borderId="0" xfId="0" applyNumberFormat="1" applyFont="1"/>
    <xf numFmtId="3" fontId="1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2011évikiadásokPHszakf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selection activeCell="F25" sqref="F25"/>
    </sheetView>
  </sheetViews>
  <sheetFormatPr defaultRowHeight="15" x14ac:dyDescent="0.25"/>
  <cols>
    <col min="1" max="1" width="5.5703125" customWidth="1"/>
    <col min="2" max="2" width="2.5703125" style="28" customWidth="1"/>
    <col min="3" max="3" width="10.42578125" customWidth="1"/>
    <col min="4" max="4" width="82.85546875" customWidth="1"/>
    <col min="5" max="5" width="21.5703125" bestFit="1" customWidth="1"/>
    <col min="6" max="6" width="21.42578125" bestFit="1" customWidth="1"/>
    <col min="7" max="7" width="21.5703125" customWidth="1"/>
    <col min="8" max="8" width="18.7109375" bestFit="1" customWidth="1"/>
  </cols>
  <sheetData>
    <row r="1" spans="2:8" ht="20.25" x14ac:dyDescent="0.25">
      <c r="B1" s="59" t="s">
        <v>120</v>
      </c>
      <c r="C1" s="59"/>
      <c r="D1" s="59"/>
      <c r="E1" s="59"/>
      <c r="F1" s="59"/>
      <c r="G1" s="59"/>
    </row>
    <row r="2" spans="2:8" x14ac:dyDescent="0.25">
      <c r="B2" s="12"/>
      <c r="C2" s="13"/>
      <c r="D2" s="14"/>
      <c r="E2" s="15"/>
    </row>
    <row r="3" spans="2:8" ht="18" x14ac:dyDescent="0.25">
      <c r="B3" s="58" t="s">
        <v>113</v>
      </c>
      <c r="C3" s="58"/>
      <c r="D3" s="58"/>
      <c r="E3" s="58"/>
      <c r="F3" s="58"/>
      <c r="G3" s="58"/>
    </row>
    <row r="4" spans="2:8" x14ac:dyDescent="0.25">
      <c r="B4" s="16"/>
      <c r="C4" s="29" t="s">
        <v>13</v>
      </c>
      <c r="D4" s="17"/>
      <c r="E4" s="17"/>
    </row>
    <row r="5" spans="2:8" ht="22.5" x14ac:dyDescent="0.25">
      <c r="B5" s="18"/>
      <c r="C5" s="19" t="s">
        <v>29</v>
      </c>
      <c r="D5" s="20" t="s">
        <v>1</v>
      </c>
      <c r="E5" s="21" t="s">
        <v>32</v>
      </c>
      <c r="F5" s="21" t="s">
        <v>33</v>
      </c>
      <c r="G5" s="53" t="s">
        <v>137</v>
      </c>
      <c r="H5" s="21" t="s">
        <v>5</v>
      </c>
    </row>
    <row r="6" spans="2:8" ht="45" x14ac:dyDescent="0.25">
      <c r="B6" s="22"/>
      <c r="C6" s="38" t="s">
        <v>92</v>
      </c>
      <c r="D6" s="24" t="s">
        <v>93</v>
      </c>
      <c r="E6" s="25">
        <f>'IGAZGATÁS, ADÓ, KÖZT.F.'!C66</f>
        <v>217493192</v>
      </c>
      <c r="F6" s="25">
        <f>'IGAZGATÁS, ADÓ, KÖZT.F.'!D66</f>
        <v>218631421</v>
      </c>
      <c r="G6" s="49">
        <f>'IGAZGATÁS, ADÓ, KÖZT.F.'!E66</f>
        <v>100168461</v>
      </c>
      <c r="H6" s="43">
        <f>G6/F6</f>
        <v>0.45816132256671377</v>
      </c>
    </row>
    <row r="7" spans="2:8" x14ac:dyDescent="0.25">
      <c r="B7" s="22"/>
      <c r="C7" s="23" t="s">
        <v>59</v>
      </c>
      <c r="D7" s="26" t="s">
        <v>60</v>
      </c>
      <c r="E7" s="25">
        <f>'062020'!C8</f>
        <v>1130000</v>
      </c>
      <c r="F7" s="25">
        <f>'062020'!D8</f>
        <v>1130000</v>
      </c>
      <c r="G7" s="49">
        <f>'062020'!E8</f>
        <v>1130000</v>
      </c>
      <c r="H7" s="43">
        <f t="shared" ref="H7:H8" si="0">G7/F7</f>
        <v>1</v>
      </c>
    </row>
    <row r="8" spans="2:8" ht="15.75" x14ac:dyDescent="0.25">
      <c r="B8" s="60" t="s">
        <v>47</v>
      </c>
      <c r="C8" s="61"/>
      <c r="D8" s="61"/>
      <c r="E8" s="27">
        <f>SUM(E6:E7)</f>
        <v>218623192</v>
      </c>
      <c r="F8" s="27">
        <f>SUM(F6:F7)</f>
        <v>219761421</v>
      </c>
      <c r="G8" s="50">
        <f>SUM(G6:G7)</f>
        <v>101298461</v>
      </c>
      <c r="H8" s="44">
        <f t="shared" si="0"/>
        <v>0.46094742443442793</v>
      </c>
    </row>
    <row r="9" spans="2:8" ht="15.75" x14ac:dyDescent="0.25">
      <c r="B9" s="40"/>
      <c r="C9" s="41"/>
      <c r="D9" s="41"/>
      <c r="E9" s="42"/>
      <c r="H9" s="45"/>
    </row>
    <row r="10" spans="2:8" x14ac:dyDescent="0.25">
      <c r="B10" s="16"/>
      <c r="C10" s="29" t="s">
        <v>28</v>
      </c>
      <c r="D10" s="17"/>
      <c r="E10" s="17"/>
    </row>
    <row r="11" spans="2:8" ht="22.5" x14ac:dyDescent="0.25">
      <c r="B11" s="18"/>
      <c r="C11" s="19" t="s">
        <v>29</v>
      </c>
      <c r="D11" s="20" t="s">
        <v>1</v>
      </c>
      <c r="E11" s="21" t="s">
        <v>32</v>
      </c>
      <c r="F11" s="21" t="s">
        <v>33</v>
      </c>
      <c r="G11" s="53" t="s">
        <v>137</v>
      </c>
      <c r="H11" s="21" t="s">
        <v>5</v>
      </c>
    </row>
    <row r="12" spans="2:8" ht="45" x14ac:dyDescent="0.25">
      <c r="B12" s="22"/>
      <c r="C12" s="38" t="s">
        <v>92</v>
      </c>
      <c r="D12" s="24" t="s">
        <v>93</v>
      </c>
      <c r="E12" s="25">
        <f>'IGAZGATÁS, ADÓ, KÖZT.F.'!C83</f>
        <v>550000</v>
      </c>
      <c r="F12" s="25">
        <f>'IGAZGATÁS, ADÓ, KÖZT.F.'!D83</f>
        <v>550000</v>
      </c>
      <c r="G12" s="49">
        <f>'IGAZGATÁS, ADÓ, KÖZT.F.'!E83</f>
        <v>1231447</v>
      </c>
      <c r="H12" s="43">
        <f>G12/F12</f>
        <v>2.2389945454545455</v>
      </c>
    </row>
    <row r="13" spans="2:8" x14ac:dyDescent="0.25">
      <c r="B13" s="22"/>
      <c r="C13" s="23" t="s">
        <v>30</v>
      </c>
      <c r="D13" s="26" t="s">
        <v>31</v>
      </c>
      <c r="E13" s="25">
        <f>'018030'!C16</f>
        <v>218073192</v>
      </c>
      <c r="F13" s="25">
        <f>'018030'!D16</f>
        <v>219211421</v>
      </c>
      <c r="G13" s="49">
        <f>'018030'!E16</f>
        <v>99823016</v>
      </c>
      <c r="H13" s="43">
        <f>G13/F13</f>
        <v>0.45537324444422994</v>
      </c>
    </row>
    <row r="14" spans="2:8" ht="15.75" x14ac:dyDescent="0.25">
      <c r="B14" s="60" t="s">
        <v>48</v>
      </c>
      <c r="C14" s="61"/>
      <c r="D14" s="61"/>
      <c r="E14" s="27">
        <f>SUM(E12:E13)</f>
        <v>218623192</v>
      </c>
      <c r="F14" s="27">
        <f>SUM(F12:F13)</f>
        <v>219761421</v>
      </c>
      <c r="G14" s="50">
        <f>SUM(G12:G13)</f>
        <v>101054463</v>
      </c>
      <c r="H14" s="44">
        <f t="shared" ref="H14" si="1">G14/F14</f>
        <v>0.45983713856673686</v>
      </c>
    </row>
    <row r="15" spans="2:8" x14ac:dyDescent="0.25">
      <c r="H15" s="46"/>
    </row>
    <row r="16" spans="2:8" ht="15.75" x14ac:dyDescent="0.25">
      <c r="H16" s="47"/>
    </row>
    <row r="17" spans="4:4" x14ac:dyDescent="0.25">
      <c r="D17" t="s">
        <v>109</v>
      </c>
    </row>
  </sheetData>
  <mergeCells count="4">
    <mergeCell ref="B3:G3"/>
    <mergeCell ref="B1:G1"/>
    <mergeCell ref="B14:D14"/>
    <mergeCell ref="B8:D8"/>
  </mergeCells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477"/>
  <sheetViews>
    <sheetView topLeftCell="A64" zoomScaleNormal="100" workbookViewId="0">
      <selection activeCell="L82" sqref="L82"/>
    </sheetView>
  </sheetViews>
  <sheetFormatPr defaultRowHeight="15" x14ac:dyDescent="0.25"/>
  <cols>
    <col min="1" max="1" width="6.85546875" customWidth="1"/>
    <col min="2" max="2" width="53.28515625" customWidth="1"/>
    <col min="3" max="3" width="13.28515625" bestFit="1" customWidth="1"/>
    <col min="4" max="4" width="14.140625" bestFit="1" customWidth="1"/>
    <col min="5" max="5" width="13.28515625" bestFit="1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ht="53.25" customHeight="1" x14ac:dyDescent="0.25">
      <c r="A2" s="39" t="s">
        <v>107</v>
      </c>
      <c r="B2" s="62" t="s">
        <v>93</v>
      </c>
      <c r="C2" s="62"/>
      <c r="D2" s="62"/>
      <c r="E2" s="62"/>
      <c r="F2" s="62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0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0</v>
      </c>
      <c r="B4" t="s">
        <v>61</v>
      </c>
      <c r="C4" s="3">
        <v>158549716</v>
      </c>
      <c r="D4" s="3">
        <v>147874487</v>
      </c>
      <c r="E4" s="55">
        <v>70118745</v>
      </c>
      <c r="F4" s="10">
        <f>E4/D4</f>
        <v>0.47417743535434886</v>
      </c>
    </row>
    <row r="5" spans="1:12" x14ac:dyDescent="0.25">
      <c r="A5" t="s">
        <v>62</v>
      </c>
      <c r="B5" t="s">
        <v>110</v>
      </c>
      <c r="C5" s="3">
        <v>0</v>
      </c>
      <c r="D5" s="3">
        <v>119780</v>
      </c>
      <c r="E5" s="57">
        <v>119780</v>
      </c>
      <c r="F5" s="10">
        <f>E5/D5</f>
        <v>1</v>
      </c>
    </row>
    <row r="6" spans="1:12" x14ac:dyDescent="0.25">
      <c r="A6" t="s">
        <v>63</v>
      </c>
      <c r="B6" t="s">
        <v>64</v>
      </c>
      <c r="C6" s="3">
        <v>9600000</v>
      </c>
      <c r="D6" s="3">
        <v>9600000</v>
      </c>
      <c r="E6" s="57">
        <v>7507000</v>
      </c>
      <c r="F6" s="10">
        <f t="shared" ref="F6:F11" si="0">E6/D6</f>
        <v>0.78197916666666667</v>
      </c>
    </row>
    <row r="7" spans="1:12" x14ac:dyDescent="0.25">
      <c r="A7" t="s">
        <v>50</v>
      </c>
      <c r="B7" t="s">
        <v>52</v>
      </c>
      <c r="C7" s="3">
        <v>480000</v>
      </c>
      <c r="D7" s="3">
        <v>480000</v>
      </c>
      <c r="E7" s="56">
        <v>220284</v>
      </c>
      <c r="F7" s="10">
        <f t="shared" si="0"/>
        <v>0.45892500000000003</v>
      </c>
    </row>
    <row r="8" spans="1:12" x14ac:dyDescent="0.25">
      <c r="A8" t="s">
        <v>6</v>
      </c>
      <c r="B8" t="s">
        <v>49</v>
      </c>
      <c r="C8" s="3">
        <v>288000</v>
      </c>
      <c r="D8" s="3">
        <v>288000</v>
      </c>
      <c r="E8" s="55">
        <v>115871</v>
      </c>
      <c r="F8" s="10">
        <f t="shared" si="0"/>
        <v>0.40232986111111113</v>
      </c>
    </row>
    <row r="9" spans="1:12" x14ac:dyDescent="0.25">
      <c r="B9" t="s">
        <v>65</v>
      </c>
      <c r="C9" s="3">
        <v>350000</v>
      </c>
      <c r="D9" s="3">
        <v>350000</v>
      </c>
      <c r="E9" s="55">
        <v>71000</v>
      </c>
      <c r="F9" s="10">
        <f t="shared" si="0"/>
        <v>0.20285714285714285</v>
      </c>
    </row>
    <row r="10" spans="1:12" x14ac:dyDescent="0.25">
      <c r="B10" t="s">
        <v>46</v>
      </c>
      <c r="C10" s="3">
        <v>0</v>
      </c>
      <c r="D10" s="3">
        <v>997856</v>
      </c>
      <c r="E10" s="55">
        <v>997856</v>
      </c>
      <c r="F10" s="10">
        <f t="shared" si="0"/>
        <v>1</v>
      </c>
    </row>
    <row r="11" spans="1:12" x14ac:dyDescent="0.25">
      <c r="A11" t="s">
        <v>7</v>
      </c>
      <c r="B11" t="s">
        <v>8</v>
      </c>
      <c r="C11" s="3">
        <v>200000</v>
      </c>
      <c r="D11" s="3">
        <v>200000</v>
      </c>
      <c r="E11" s="3">
        <v>0</v>
      </c>
      <c r="F11" s="10">
        <f t="shared" si="0"/>
        <v>0</v>
      </c>
    </row>
    <row r="12" spans="1:12" s="4" customFormat="1" x14ac:dyDescent="0.25">
      <c r="A12" s="4" t="s">
        <v>9</v>
      </c>
      <c r="B12" s="4" t="s">
        <v>10</v>
      </c>
      <c r="C12" s="5">
        <f>SUM(C4:C11)</f>
        <v>169467716</v>
      </c>
      <c r="D12" s="5">
        <f>SUM(D4:D11)</f>
        <v>159910123</v>
      </c>
      <c r="E12" s="5">
        <f>SUM(E4:E11)</f>
        <v>79150536</v>
      </c>
      <c r="F12" s="11">
        <f t="shared" ref="F12:F28" si="1">E12/D12</f>
        <v>0.49496888949300599</v>
      </c>
    </row>
    <row r="13" spans="1:12" s="4" customFormat="1" x14ac:dyDescent="0.25">
      <c r="A13" s="4" t="s">
        <v>11</v>
      </c>
      <c r="B13" s="4" t="s">
        <v>12</v>
      </c>
      <c r="C13" s="5">
        <v>23471360</v>
      </c>
      <c r="D13" s="5">
        <f>23471360-1242487</f>
        <v>22228873</v>
      </c>
      <c r="E13" s="5">
        <v>11559570</v>
      </c>
      <c r="F13" s="11">
        <f t="shared" si="1"/>
        <v>0.52002501431359116</v>
      </c>
    </row>
    <row r="14" spans="1:12" x14ac:dyDescent="0.25">
      <c r="A14" t="s">
        <v>42</v>
      </c>
      <c r="B14" t="s">
        <v>66</v>
      </c>
      <c r="C14" s="3">
        <v>60000</v>
      </c>
      <c r="D14" s="3">
        <v>69000</v>
      </c>
      <c r="E14" s="3">
        <v>69000</v>
      </c>
      <c r="F14" s="10">
        <f t="shared" si="1"/>
        <v>1</v>
      </c>
    </row>
    <row r="15" spans="1:12" x14ac:dyDescent="0.25">
      <c r="A15" t="s">
        <v>14</v>
      </c>
      <c r="B15" t="s">
        <v>67</v>
      </c>
      <c r="C15" s="3">
        <v>1500000</v>
      </c>
      <c r="D15" s="3">
        <f>2500000-1500000</f>
        <v>1000000</v>
      </c>
      <c r="E15" s="3">
        <f>2200+483876</f>
        <v>486076</v>
      </c>
      <c r="F15" s="10">
        <f t="shared" si="1"/>
        <v>0.48607600000000001</v>
      </c>
    </row>
    <row r="16" spans="1:12" x14ac:dyDescent="0.25">
      <c r="B16" t="s">
        <v>68</v>
      </c>
      <c r="C16" s="3">
        <v>500000</v>
      </c>
      <c r="D16" s="3">
        <v>500000</v>
      </c>
      <c r="E16" s="3">
        <f>110783</f>
        <v>110783</v>
      </c>
      <c r="F16" s="10">
        <f t="shared" si="1"/>
        <v>0.22156600000000001</v>
      </c>
    </row>
    <row r="17" spans="1:6" x14ac:dyDescent="0.25">
      <c r="B17" t="s">
        <v>69</v>
      </c>
      <c r="C17" s="3">
        <v>300000</v>
      </c>
      <c r="D17" s="3">
        <f>300000-20402</f>
        <v>279598</v>
      </c>
      <c r="E17" s="3">
        <f>19685+8000+4748</f>
        <v>32433</v>
      </c>
      <c r="F17" s="10">
        <f t="shared" si="1"/>
        <v>0.11599868382463394</v>
      </c>
    </row>
    <row r="18" spans="1:6" x14ac:dyDescent="0.25">
      <c r="B18" t="s">
        <v>70</v>
      </c>
      <c r="C18" s="3">
        <v>150000</v>
      </c>
      <c r="D18" s="3">
        <v>150000</v>
      </c>
      <c r="E18" s="3">
        <v>0</v>
      </c>
      <c r="F18" s="10">
        <f t="shared" si="1"/>
        <v>0</v>
      </c>
    </row>
    <row r="19" spans="1:6" x14ac:dyDescent="0.25">
      <c r="B19" t="s">
        <v>128</v>
      </c>
      <c r="C19" s="3">
        <v>50000</v>
      </c>
      <c r="D19" s="3">
        <f>50000-9000</f>
        <v>41000</v>
      </c>
      <c r="E19" s="3">
        <v>0</v>
      </c>
      <c r="F19" s="10">
        <f t="shared" si="1"/>
        <v>0</v>
      </c>
    </row>
    <row r="20" spans="1:6" x14ac:dyDescent="0.25">
      <c r="B20" t="s">
        <v>71</v>
      </c>
      <c r="C20" s="3">
        <v>800000</v>
      </c>
      <c r="D20" s="3">
        <f>1800000-1000000-187229</f>
        <v>612771</v>
      </c>
      <c r="E20" s="3">
        <f>2283+42553</f>
        <v>44836</v>
      </c>
      <c r="F20" s="10">
        <f t="shared" si="1"/>
        <v>7.316925898908401E-2</v>
      </c>
    </row>
    <row r="21" spans="1:6" x14ac:dyDescent="0.25">
      <c r="B21" t="s">
        <v>121</v>
      </c>
      <c r="C21" s="3">
        <v>500000</v>
      </c>
      <c r="D21" s="3">
        <v>500000</v>
      </c>
      <c r="E21" s="3">
        <v>0</v>
      </c>
      <c r="F21" s="10">
        <f t="shared" si="1"/>
        <v>0</v>
      </c>
    </row>
    <row r="22" spans="1:6" x14ac:dyDescent="0.25">
      <c r="B22" t="s">
        <v>135</v>
      </c>
      <c r="C22" s="3">
        <v>0</v>
      </c>
      <c r="D22" s="3">
        <v>187229</v>
      </c>
      <c r="E22" s="3">
        <v>187229</v>
      </c>
      <c r="F22" s="10">
        <f t="shared" si="1"/>
        <v>1</v>
      </c>
    </row>
    <row r="23" spans="1:6" x14ac:dyDescent="0.25">
      <c r="B23" t="s">
        <v>118</v>
      </c>
      <c r="C23" s="3">
        <v>450000</v>
      </c>
      <c r="D23" s="3">
        <v>450000</v>
      </c>
      <c r="E23" s="3">
        <f>12000</f>
        <v>12000</v>
      </c>
      <c r="F23" s="10">
        <f t="shared" si="1"/>
        <v>2.6666666666666668E-2</v>
      </c>
    </row>
    <row r="24" spans="1:6" x14ac:dyDescent="0.25">
      <c r="A24" t="s">
        <v>15</v>
      </c>
      <c r="B24" t="s">
        <v>72</v>
      </c>
      <c r="C24" s="3">
        <v>220000</v>
      </c>
      <c r="D24" s="3">
        <v>220000</v>
      </c>
      <c r="E24" s="3">
        <v>108390</v>
      </c>
      <c r="F24" s="10">
        <f t="shared" si="1"/>
        <v>0.49268181818181817</v>
      </c>
    </row>
    <row r="25" spans="1:6" x14ac:dyDescent="0.25">
      <c r="B25" s="33" t="s">
        <v>73</v>
      </c>
      <c r="C25" s="3">
        <v>192000</v>
      </c>
      <c r="D25" s="3">
        <v>192000</v>
      </c>
      <c r="E25" s="3">
        <v>96000</v>
      </c>
      <c r="F25" s="10">
        <f t="shared" si="1"/>
        <v>0.5</v>
      </c>
    </row>
    <row r="26" spans="1:6" ht="24" x14ac:dyDescent="0.25">
      <c r="B26" s="35" t="s">
        <v>74</v>
      </c>
      <c r="C26" s="3">
        <v>40800</v>
      </c>
      <c r="D26" s="3">
        <f>40800+100000</f>
        <v>140800</v>
      </c>
      <c r="E26" s="3">
        <v>20400</v>
      </c>
      <c r="F26" s="10">
        <f t="shared" si="1"/>
        <v>0.14488636363636365</v>
      </c>
    </row>
    <row r="27" spans="1:6" x14ac:dyDescent="0.25">
      <c r="B27" s="35" t="s">
        <v>75</v>
      </c>
      <c r="C27" s="3">
        <v>220000</v>
      </c>
      <c r="D27" s="3">
        <v>220000</v>
      </c>
      <c r="E27" s="3">
        <v>229633</v>
      </c>
      <c r="F27" s="10">
        <f t="shared" si="1"/>
        <v>1.0437863636363636</v>
      </c>
    </row>
    <row r="28" spans="1:6" x14ac:dyDescent="0.25">
      <c r="B28" s="35" t="s">
        <v>76</v>
      </c>
      <c r="C28" s="3">
        <v>145000</v>
      </c>
      <c r="D28" s="3">
        <v>145000</v>
      </c>
      <c r="E28" s="3">
        <v>139614</v>
      </c>
      <c r="F28" s="10">
        <f t="shared" si="1"/>
        <v>0.96285517241379315</v>
      </c>
    </row>
    <row r="29" spans="1:6" ht="38.25" x14ac:dyDescent="0.25">
      <c r="B29" s="34" t="s">
        <v>77</v>
      </c>
      <c r="C29" s="3">
        <v>288000</v>
      </c>
      <c r="D29" s="3">
        <v>288000</v>
      </c>
      <c r="E29" s="3">
        <v>143226</v>
      </c>
      <c r="F29" s="10">
        <f t="shared" ref="F29:F64" si="2">E29/D29</f>
        <v>0.49731249999999999</v>
      </c>
    </row>
    <row r="30" spans="1:6" x14ac:dyDescent="0.25">
      <c r="B30" s="34" t="s">
        <v>129</v>
      </c>
      <c r="C30" s="3">
        <v>0</v>
      </c>
      <c r="D30" s="3">
        <v>0</v>
      </c>
      <c r="E30" s="3">
        <v>119903</v>
      </c>
      <c r="F30" s="10"/>
    </row>
    <row r="31" spans="1:6" x14ac:dyDescent="0.25">
      <c r="B31" s="34" t="s">
        <v>127</v>
      </c>
      <c r="C31" s="3">
        <v>85200</v>
      </c>
      <c r="D31" s="3">
        <v>85200</v>
      </c>
      <c r="E31" s="3">
        <v>38886</v>
      </c>
      <c r="F31" s="10">
        <f t="shared" si="2"/>
        <v>0.45640845070422537</v>
      </c>
    </row>
    <row r="32" spans="1:6" x14ac:dyDescent="0.25">
      <c r="B32" s="34" t="s">
        <v>78</v>
      </c>
      <c r="C32" s="3">
        <v>50000</v>
      </c>
      <c r="D32" s="3">
        <v>50000</v>
      </c>
      <c r="E32" s="3">
        <v>0</v>
      </c>
      <c r="F32" s="10">
        <f t="shared" si="2"/>
        <v>0</v>
      </c>
    </row>
    <row r="33" spans="1:6" x14ac:dyDescent="0.25">
      <c r="B33" s="34" t="s">
        <v>79</v>
      </c>
      <c r="C33" s="3">
        <f>355610*12</f>
        <v>4267320</v>
      </c>
      <c r="D33" s="3">
        <f>355610*12+100000</f>
        <v>4367320</v>
      </c>
      <c r="E33" s="3">
        <v>2199460</v>
      </c>
      <c r="F33" s="10">
        <f t="shared" si="2"/>
        <v>0.50361777932462015</v>
      </c>
    </row>
    <row r="34" spans="1:6" x14ac:dyDescent="0.25">
      <c r="A34" t="s">
        <v>16</v>
      </c>
      <c r="B34" s="34" t="s">
        <v>80</v>
      </c>
      <c r="C34" s="3">
        <v>600000</v>
      </c>
      <c r="D34" s="3">
        <v>600000</v>
      </c>
      <c r="E34" s="3">
        <v>210500</v>
      </c>
      <c r="F34" s="10">
        <f t="shared" si="2"/>
        <v>0.35083333333333333</v>
      </c>
    </row>
    <row r="35" spans="1:6" x14ac:dyDescent="0.25">
      <c r="A35" t="s">
        <v>35</v>
      </c>
      <c r="B35" t="s">
        <v>43</v>
      </c>
      <c r="C35" s="3">
        <v>1500000</v>
      </c>
      <c r="D35" s="3">
        <v>1293112</v>
      </c>
      <c r="E35" s="3">
        <v>249677</v>
      </c>
      <c r="F35" s="10">
        <f t="shared" si="2"/>
        <v>0.19308226974925605</v>
      </c>
    </row>
    <row r="36" spans="1:6" x14ac:dyDescent="0.25">
      <c r="A36" t="s">
        <v>36</v>
      </c>
      <c r="B36" t="s">
        <v>44</v>
      </c>
      <c r="C36" s="3">
        <v>500000</v>
      </c>
      <c r="D36" s="3">
        <f>500000+9505</f>
        <v>509505</v>
      </c>
      <c r="E36" s="3">
        <v>17517</v>
      </c>
      <c r="F36" s="10">
        <f t="shared" si="2"/>
        <v>3.4380428062531283E-2</v>
      </c>
    </row>
    <row r="37" spans="1:6" x14ac:dyDescent="0.25">
      <c r="A37" t="s">
        <v>37</v>
      </c>
      <c r="B37" t="s">
        <v>45</v>
      </c>
      <c r="C37" s="3">
        <v>250000</v>
      </c>
      <c r="D37" s="3">
        <v>584631</v>
      </c>
      <c r="E37" s="3">
        <v>267580</v>
      </c>
      <c r="F37" s="10">
        <f t="shared" si="2"/>
        <v>0.45769040642730202</v>
      </c>
    </row>
    <row r="38" spans="1:6" x14ac:dyDescent="0.25">
      <c r="A38" t="s">
        <v>17</v>
      </c>
      <c r="B38" s="34" t="s">
        <v>81</v>
      </c>
      <c r="C38" s="3">
        <v>400000</v>
      </c>
      <c r="D38" s="3">
        <v>400000</v>
      </c>
      <c r="E38" s="3">
        <v>93350</v>
      </c>
      <c r="F38" s="10">
        <f t="shared" si="2"/>
        <v>0.233375</v>
      </c>
    </row>
    <row r="39" spans="1:6" x14ac:dyDescent="0.25">
      <c r="B39" s="34" t="s">
        <v>82</v>
      </c>
      <c r="C39" s="3">
        <v>200000</v>
      </c>
      <c r="D39" s="3">
        <v>200000</v>
      </c>
      <c r="E39" s="3">
        <v>0</v>
      </c>
      <c r="F39" s="10">
        <f t="shared" si="2"/>
        <v>0</v>
      </c>
    </row>
    <row r="40" spans="1:6" ht="38.25" x14ac:dyDescent="0.25">
      <c r="B40" s="34" t="s">
        <v>126</v>
      </c>
      <c r="C40" s="3">
        <v>150000</v>
      </c>
      <c r="D40" s="3">
        <f>150000+1000000</f>
        <v>1150000</v>
      </c>
      <c r="E40" s="3">
        <v>0</v>
      </c>
      <c r="F40" s="10">
        <f t="shared" si="2"/>
        <v>0</v>
      </c>
    </row>
    <row r="41" spans="1:6" ht="25.5" x14ac:dyDescent="0.25">
      <c r="B41" s="34" t="s">
        <v>83</v>
      </c>
      <c r="C41" s="3">
        <v>50000</v>
      </c>
      <c r="D41" s="3">
        <v>50000</v>
      </c>
      <c r="E41" s="3">
        <v>55889</v>
      </c>
      <c r="F41" s="10">
        <f t="shared" si="2"/>
        <v>1.11778</v>
      </c>
    </row>
    <row r="42" spans="1:6" x14ac:dyDescent="0.25">
      <c r="B42" s="36" t="s">
        <v>84</v>
      </c>
      <c r="C42" s="3">
        <v>84000</v>
      </c>
      <c r="D42" s="3">
        <v>84000</v>
      </c>
      <c r="E42" s="3">
        <v>0</v>
      </c>
      <c r="F42" s="10">
        <f t="shared" si="2"/>
        <v>0</v>
      </c>
    </row>
    <row r="43" spans="1:6" x14ac:dyDescent="0.25">
      <c r="A43" t="s">
        <v>18</v>
      </c>
      <c r="B43" s="34" t="s">
        <v>122</v>
      </c>
      <c r="C43" s="3">
        <v>144000</v>
      </c>
      <c r="D43" s="3">
        <v>144000</v>
      </c>
      <c r="E43" s="3">
        <v>0</v>
      </c>
      <c r="F43" s="10">
        <f t="shared" si="2"/>
        <v>0</v>
      </c>
    </row>
    <row r="44" spans="1:6" x14ac:dyDescent="0.25">
      <c r="B44" s="34" t="s">
        <v>116</v>
      </c>
      <c r="C44" s="32">
        <v>400000</v>
      </c>
      <c r="D44" s="32">
        <v>400000</v>
      </c>
      <c r="E44" s="3">
        <v>144351</v>
      </c>
      <c r="F44" s="10">
        <f t="shared" si="2"/>
        <v>0.36087750000000002</v>
      </c>
    </row>
    <row r="45" spans="1:6" x14ac:dyDescent="0.25">
      <c r="A45" t="s">
        <v>19</v>
      </c>
      <c r="B45" s="34" t="s">
        <v>85</v>
      </c>
      <c r="C45" s="3">
        <v>250000</v>
      </c>
      <c r="D45" s="3">
        <f>250000-70000</f>
        <v>180000</v>
      </c>
      <c r="E45" s="48">
        <v>102807</v>
      </c>
      <c r="F45" s="10">
        <f t="shared" si="2"/>
        <v>0.57115000000000005</v>
      </c>
    </row>
    <row r="46" spans="1:6" ht="25.5" x14ac:dyDescent="0.25">
      <c r="B46" s="34" t="s">
        <v>119</v>
      </c>
      <c r="C46" s="3">
        <v>150000</v>
      </c>
      <c r="D46" s="3">
        <v>150000</v>
      </c>
      <c r="E46" s="48">
        <f>54287+394</f>
        <v>54681</v>
      </c>
      <c r="F46" s="10">
        <f t="shared" si="2"/>
        <v>0.36453999999999998</v>
      </c>
    </row>
    <row r="47" spans="1:6" ht="25.5" x14ac:dyDescent="0.25">
      <c r="B47" s="34" t="s">
        <v>86</v>
      </c>
      <c r="C47" s="3">
        <v>2000000</v>
      </c>
      <c r="D47" s="3">
        <v>2000000</v>
      </c>
      <c r="E47" s="48">
        <v>1441425</v>
      </c>
      <c r="F47" s="10">
        <f t="shared" si="2"/>
        <v>0.72071249999999998</v>
      </c>
    </row>
    <row r="48" spans="1:6" x14ac:dyDescent="0.25">
      <c r="B48" s="33" t="s">
        <v>87</v>
      </c>
      <c r="C48" s="3">
        <v>80000</v>
      </c>
      <c r="D48" s="3">
        <v>80000</v>
      </c>
      <c r="E48" s="48">
        <v>30056</v>
      </c>
      <c r="F48" s="10">
        <f t="shared" si="2"/>
        <v>0.37569999999999998</v>
      </c>
    </row>
    <row r="49" spans="1:6" x14ac:dyDescent="0.25">
      <c r="B49" s="34" t="s">
        <v>88</v>
      </c>
      <c r="C49" s="3">
        <v>35000</v>
      </c>
      <c r="D49" s="3">
        <v>35000</v>
      </c>
      <c r="E49" s="48">
        <f>21700</f>
        <v>21700</v>
      </c>
      <c r="F49" s="10">
        <f t="shared" si="2"/>
        <v>0.62</v>
      </c>
    </row>
    <row r="50" spans="1:6" x14ac:dyDescent="0.25">
      <c r="B50" s="34" t="s">
        <v>131</v>
      </c>
      <c r="C50" s="3">
        <v>0</v>
      </c>
      <c r="D50" s="3">
        <v>8504000</v>
      </c>
      <c r="E50" s="48">
        <v>1063000</v>
      </c>
      <c r="F50" s="10">
        <f t="shared" si="2"/>
        <v>0.125</v>
      </c>
    </row>
    <row r="51" spans="1:6" x14ac:dyDescent="0.25">
      <c r="B51" s="34" t="s">
        <v>89</v>
      </c>
      <c r="C51" s="3">
        <v>30000</v>
      </c>
      <c r="D51" s="3">
        <v>30000</v>
      </c>
      <c r="E51" s="48">
        <v>0</v>
      </c>
      <c r="F51" s="10">
        <f t="shared" si="2"/>
        <v>0</v>
      </c>
    </row>
    <row r="52" spans="1:6" x14ac:dyDescent="0.25">
      <c r="B52" s="34" t="s">
        <v>90</v>
      </c>
      <c r="C52" s="3">
        <v>0</v>
      </c>
      <c r="D52" s="3">
        <v>0</v>
      </c>
      <c r="E52" s="48">
        <v>470000</v>
      </c>
      <c r="F52" s="10"/>
    </row>
    <row r="53" spans="1:6" x14ac:dyDescent="0.25">
      <c r="B53" s="34" t="s">
        <v>130</v>
      </c>
      <c r="C53" s="3">
        <v>0</v>
      </c>
      <c r="D53" s="3">
        <v>0</v>
      </c>
      <c r="E53" s="48">
        <f>45000+10000</f>
        <v>55000</v>
      </c>
      <c r="F53" s="10"/>
    </row>
    <row r="54" spans="1:6" ht="25.5" x14ac:dyDescent="0.25">
      <c r="B54" s="34" t="s">
        <v>123</v>
      </c>
      <c r="C54" s="3">
        <v>117000</v>
      </c>
      <c r="D54" s="3">
        <v>117000</v>
      </c>
      <c r="E54" s="48">
        <v>0</v>
      </c>
      <c r="F54" s="10">
        <f t="shared" si="2"/>
        <v>0</v>
      </c>
    </row>
    <row r="55" spans="1:6" x14ac:dyDescent="0.25">
      <c r="B55" s="34" t="s">
        <v>91</v>
      </c>
      <c r="C55" s="3">
        <v>50000</v>
      </c>
      <c r="D55" s="3">
        <v>50000</v>
      </c>
      <c r="E55" s="48">
        <v>0</v>
      </c>
      <c r="F55" s="10">
        <f t="shared" si="2"/>
        <v>0</v>
      </c>
    </row>
    <row r="56" spans="1:6" x14ac:dyDescent="0.25">
      <c r="B56" s="37" t="s">
        <v>132</v>
      </c>
      <c r="C56" s="51">
        <v>100000</v>
      </c>
      <c r="D56" s="51">
        <f>100000+63285</f>
        <v>163285</v>
      </c>
      <c r="E56" s="51">
        <f>8819+3000</f>
        <v>11819</v>
      </c>
      <c r="F56" s="52">
        <f t="shared" si="2"/>
        <v>7.2382643843586364E-2</v>
      </c>
    </row>
    <row r="57" spans="1:6" x14ac:dyDescent="0.25">
      <c r="A57" t="s">
        <v>20</v>
      </c>
      <c r="B57" t="s">
        <v>21</v>
      </c>
      <c r="C57" s="3">
        <v>300000</v>
      </c>
      <c r="D57" s="3">
        <v>300000</v>
      </c>
      <c r="E57" s="3">
        <v>10175</v>
      </c>
      <c r="F57" s="10">
        <f t="shared" si="2"/>
        <v>3.3916666666666664E-2</v>
      </c>
    </row>
    <row r="58" spans="1:6" x14ac:dyDescent="0.25">
      <c r="A58" t="s">
        <v>22</v>
      </c>
      <c r="B58" t="s">
        <v>23</v>
      </c>
      <c r="C58" s="3">
        <v>2719596</v>
      </c>
      <c r="D58" s="3">
        <f>5193223+50551</f>
        <v>5243774</v>
      </c>
      <c r="E58" s="3">
        <f>908453+50551</f>
        <v>959004</v>
      </c>
      <c r="F58" s="10">
        <f t="shared" si="2"/>
        <v>0.18288431194784519</v>
      </c>
    </row>
    <row r="59" spans="1:6" x14ac:dyDescent="0.25">
      <c r="A59" t="s">
        <v>111</v>
      </c>
      <c r="B59" t="s">
        <v>112</v>
      </c>
      <c r="C59" s="3">
        <v>0</v>
      </c>
      <c r="D59" s="3">
        <f>3000</f>
        <v>3000</v>
      </c>
      <c r="E59" s="3">
        <v>3000</v>
      </c>
      <c r="F59" s="10">
        <f t="shared" si="2"/>
        <v>1</v>
      </c>
    </row>
    <row r="60" spans="1:6" ht="30" x14ac:dyDescent="0.25">
      <c r="A60" t="s">
        <v>24</v>
      </c>
      <c r="B60" s="31" t="s">
        <v>133</v>
      </c>
      <c r="C60" s="3">
        <v>50000</v>
      </c>
      <c r="D60" s="3">
        <v>147000</v>
      </c>
      <c r="E60" s="3">
        <f>115640-10000</f>
        <v>105640</v>
      </c>
      <c r="F60" s="10">
        <f t="shared" si="2"/>
        <v>0.71863945578231292</v>
      </c>
    </row>
    <row r="61" spans="1:6" s="4" customFormat="1" x14ac:dyDescent="0.25">
      <c r="A61" s="4" t="s">
        <v>25</v>
      </c>
      <c r="B61" s="54" t="s">
        <v>26</v>
      </c>
      <c r="C61" s="5">
        <f>SUM(C14:C60)</f>
        <v>19977916</v>
      </c>
      <c r="D61" s="5">
        <f>SUM(D14:D60)</f>
        <v>31916225</v>
      </c>
      <c r="E61" s="5">
        <f>SUM(E14:E60)</f>
        <v>9405040</v>
      </c>
      <c r="F61" s="11">
        <f t="shared" si="2"/>
        <v>0.29467896030937241</v>
      </c>
    </row>
    <row r="62" spans="1:6" x14ac:dyDescent="0.25">
      <c r="A62" t="s">
        <v>124</v>
      </c>
      <c r="B62" t="s">
        <v>134</v>
      </c>
      <c r="C62" s="3">
        <v>4500000</v>
      </c>
      <c r="D62" s="3">
        <v>4500000</v>
      </c>
      <c r="E62" s="3">
        <v>53315</v>
      </c>
      <c r="F62" s="10">
        <f t="shared" si="2"/>
        <v>1.1847777777777778E-2</v>
      </c>
    </row>
    <row r="63" spans="1:6" x14ac:dyDescent="0.25">
      <c r="A63" t="s">
        <v>51</v>
      </c>
      <c r="B63" t="s">
        <v>125</v>
      </c>
      <c r="C63" s="3">
        <v>76200</v>
      </c>
      <c r="D63" s="3">
        <v>76200</v>
      </c>
      <c r="E63" s="3">
        <v>0</v>
      </c>
      <c r="F63" s="10">
        <f t="shared" si="2"/>
        <v>0</v>
      </c>
    </row>
    <row r="64" spans="1:6" s="4" customFormat="1" x14ac:dyDescent="0.25">
      <c r="A64" s="4" t="s">
        <v>40</v>
      </c>
      <c r="B64" s="4" t="s">
        <v>41</v>
      </c>
      <c r="C64" s="5">
        <f>SUM(C62:C63)</f>
        <v>4576200</v>
      </c>
      <c r="D64" s="5">
        <f>SUM(D62:D63)</f>
        <v>4576200</v>
      </c>
      <c r="E64" s="5">
        <f>SUM(E62:E63)</f>
        <v>53315</v>
      </c>
      <c r="F64" s="11">
        <f t="shared" si="2"/>
        <v>1.1650496044753289E-2</v>
      </c>
    </row>
    <row r="65" spans="1:6" x14ac:dyDescent="0.25">
      <c r="B65" s="4"/>
      <c r="C65" s="3"/>
      <c r="D65" s="3"/>
      <c r="E65" s="3"/>
      <c r="F65" s="11"/>
    </row>
    <row r="66" spans="1:6" s="8" customFormat="1" ht="15.75" x14ac:dyDescent="0.25">
      <c r="B66" s="8" t="s">
        <v>27</v>
      </c>
      <c r="C66" s="9">
        <f>C64+C61+C13+C12</f>
        <v>217493192</v>
      </c>
      <c r="D66" s="9">
        <f t="shared" ref="D66:E66" si="3">D64+D61+D13+D12</f>
        <v>218631421</v>
      </c>
      <c r="E66" s="9">
        <f t="shared" si="3"/>
        <v>100168461</v>
      </c>
      <c r="F66" s="11">
        <f t="shared" ref="F66" si="4">E66/D66</f>
        <v>0.45816132256671377</v>
      </c>
    </row>
    <row r="67" spans="1:6" x14ac:dyDescent="0.25">
      <c r="C67" s="3"/>
      <c r="D67" s="3"/>
      <c r="E67" s="3"/>
    </row>
    <row r="68" spans="1:6" x14ac:dyDescent="0.25">
      <c r="C68" s="3"/>
      <c r="D68" s="3"/>
      <c r="E68" s="3"/>
    </row>
    <row r="69" spans="1:6" x14ac:dyDescent="0.25">
      <c r="C69" s="3"/>
      <c r="D69" s="3"/>
      <c r="E69" s="3"/>
    </row>
    <row r="70" spans="1:6" ht="15.75" x14ac:dyDescent="0.25">
      <c r="B70" s="30" t="s">
        <v>28</v>
      </c>
      <c r="C70" s="3"/>
      <c r="D70" s="3"/>
      <c r="E70" s="3"/>
    </row>
    <row r="71" spans="1:6" x14ac:dyDescent="0.25">
      <c r="A71" t="s">
        <v>94</v>
      </c>
      <c r="B71" t="s">
        <v>114</v>
      </c>
      <c r="C71" s="3">
        <v>250000</v>
      </c>
      <c r="D71" s="3">
        <v>250000</v>
      </c>
      <c r="E71" s="3">
        <v>111000</v>
      </c>
      <c r="F71" s="10">
        <f t="shared" ref="F71:F74" si="5">E71/D71</f>
        <v>0.44400000000000001</v>
      </c>
    </row>
    <row r="72" spans="1:6" x14ac:dyDescent="0.25">
      <c r="B72" t="s">
        <v>95</v>
      </c>
      <c r="C72" s="3">
        <v>0</v>
      </c>
      <c r="D72" s="3">
        <v>0</v>
      </c>
      <c r="E72" s="3"/>
      <c r="F72" s="10"/>
    </row>
    <row r="73" spans="1:6" s="4" customFormat="1" x14ac:dyDescent="0.25">
      <c r="A73" s="4" t="s">
        <v>103</v>
      </c>
      <c r="B73" s="4" t="s">
        <v>104</v>
      </c>
      <c r="C73" s="5">
        <f>SUM(C71:C72)</f>
        <v>250000</v>
      </c>
      <c r="D73" s="5">
        <f>SUM(D71:D72)</f>
        <v>250000</v>
      </c>
      <c r="E73" s="5">
        <f t="shared" ref="E73" si="6">SUM(E71:E72)</f>
        <v>111000</v>
      </c>
      <c r="F73" s="11">
        <f t="shared" si="5"/>
        <v>0.44400000000000001</v>
      </c>
    </row>
    <row r="74" spans="1:6" x14ac:dyDescent="0.25">
      <c r="A74" t="s">
        <v>96</v>
      </c>
      <c r="B74" t="s">
        <v>97</v>
      </c>
      <c r="C74" s="3">
        <v>300000</v>
      </c>
      <c r="D74" s="3">
        <v>300000</v>
      </c>
      <c r="E74" s="3">
        <v>207960</v>
      </c>
      <c r="F74" s="10">
        <f t="shared" si="5"/>
        <v>0.69320000000000004</v>
      </c>
    </row>
    <row r="75" spans="1:6" x14ac:dyDescent="0.25">
      <c r="A75" t="s">
        <v>98</v>
      </c>
      <c r="B75" t="s">
        <v>136</v>
      </c>
      <c r="C75" s="3">
        <v>0</v>
      </c>
      <c r="D75" s="3">
        <v>0</v>
      </c>
      <c r="E75" s="3">
        <v>41354</v>
      </c>
      <c r="F75" s="10"/>
    </row>
    <row r="76" spans="1:6" x14ac:dyDescent="0.25">
      <c r="A76" t="s">
        <v>38</v>
      </c>
      <c r="B76" t="s">
        <v>39</v>
      </c>
      <c r="C76" s="3">
        <v>0</v>
      </c>
      <c r="D76" s="3">
        <v>0</v>
      </c>
      <c r="E76" s="3">
        <v>8646</v>
      </c>
      <c r="F76" s="10"/>
    </row>
    <row r="77" spans="1:6" x14ac:dyDescent="0.25">
      <c r="A77" t="s">
        <v>99</v>
      </c>
      <c r="B77" t="s">
        <v>100</v>
      </c>
      <c r="C77" s="3">
        <v>0</v>
      </c>
      <c r="D77" s="3">
        <v>0</v>
      </c>
      <c r="E77" s="3">
        <v>5</v>
      </c>
      <c r="F77" s="10"/>
    </row>
    <row r="78" spans="1:6" x14ac:dyDescent="0.25">
      <c r="A78" t="s">
        <v>101</v>
      </c>
      <c r="B78" t="s">
        <v>102</v>
      </c>
      <c r="C78" s="3">
        <v>0</v>
      </c>
      <c r="D78" s="3">
        <v>0</v>
      </c>
      <c r="E78" s="3"/>
      <c r="F78" s="10"/>
    </row>
    <row r="79" spans="1:6" x14ac:dyDescent="0.25">
      <c r="B79" t="s">
        <v>117</v>
      </c>
      <c r="C79" s="3">
        <v>0</v>
      </c>
      <c r="D79" s="3">
        <v>0</v>
      </c>
      <c r="E79" s="3">
        <v>862482</v>
      </c>
      <c r="F79" s="10"/>
    </row>
    <row r="80" spans="1:6" x14ac:dyDescent="0.25">
      <c r="B80" t="s">
        <v>115</v>
      </c>
      <c r="C80" s="3">
        <v>0</v>
      </c>
      <c r="D80" s="3">
        <v>0</v>
      </c>
      <c r="E80" s="3"/>
      <c r="F80" s="10"/>
    </row>
    <row r="81" spans="1:6" s="4" customFormat="1" x14ac:dyDescent="0.25">
      <c r="A81" s="4" t="s">
        <v>105</v>
      </c>
      <c r="B81" s="4" t="s">
        <v>106</v>
      </c>
      <c r="C81" s="5">
        <f>SUM(C74:C80)</f>
        <v>300000</v>
      </c>
      <c r="D81" s="5">
        <f>SUM(D74:D80)</f>
        <v>300000</v>
      </c>
      <c r="E81" s="5">
        <f t="shared" ref="E81" si="7">SUM(E74:E80)</f>
        <v>1120447</v>
      </c>
      <c r="F81" s="11">
        <f t="shared" ref="F81" si="8">E81/D81</f>
        <v>3.7348233333333334</v>
      </c>
    </row>
    <row r="82" spans="1:6" x14ac:dyDescent="0.25">
      <c r="C82" s="3"/>
      <c r="D82" s="3"/>
      <c r="E82" s="3"/>
    </row>
    <row r="83" spans="1:6" s="8" customFormat="1" ht="15.75" x14ac:dyDescent="0.25">
      <c r="B83" s="8" t="s">
        <v>34</v>
      </c>
      <c r="C83" s="9">
        <f>SUM(C81,C73)</f>
        <v>550000</v>
      </c>
      <c r="D83" s="9">
        <f t="shared" ref="D83:E83" si="9">SUM(D81,D73)</f>
        <v>550000</v>
      </c>
      <c r="E83" s="9">
        <f t="shared" si="9"/>
        <v>1231447</v>
      </c>
      <c r="F83" s="11">
        <f t="shared" ref="F83" si="10">E83/D83</f>
        <v>2.2389945454545455</v>
      </c>
    </row>
    <row r="84" spans="1:6" x14ac:dyDescent="0.25">
      <c r="C84" s="3"/>
      <c r="D84" s="3"/>
      <c r="E84" s="3"/>
    </row>
    <row r="85" spans="1:6" x14ac:dyDescent="0.25">
      <c r="C85" s="3"/>
      <c r="D85" s="3"/>
      <c r="E85" s="3"/>
    </row>
    <row r="86" spans="1:6" x14ac:dyDescent="0.25">
      <c r="C86" s="3"/>
      <c r="D86" s="3"/>
      <c r="E86" s="3"/>
    </row>
    <row r="87" spans="1:6" x14ac:dyDescent="0.25">
      <c r="C87" s="3"/>
      <c r="D87" s="3"/>
      <c r="E87" s="3"/>
    </row>
    <row r="88" spans="1:6" x14ac:dyDescent="0.25">
      <c r="C88" s="3"/>
      <c r="D88" s="3"/>
      <c r="E88" s="3"/>
    </row>
    <row r="89" spans="1:6" x14ac:dyDescent="0.25">
      <c r="C89" s="3"/>
      <c r="D89" s="3"/>
      <c r="E89" s="3"/>
    </row>
    <row r="90" spans="1:6" x14ac:dyDescent="0.25">
      <c r="C90" s="3"/>
      <c r="D90" s="3"/>
      <c r="E90" s="3"/>
    </row>
    <row r="91" spans="1:6" x14ac:dyDescent="0.25">
      <c r="C91" s="3"/>
      <c r="D91" s="3"/>
      <c r="E91" s="3"/>
    </row>
    <row r="92" spans="1:6" x14ac:dyDescent="0.25">
      <c r="C92" s="3"/>
      <c r="D92" s="3"/>
      <c r="E92" s="3"/>
    </row>
    <row r="93" spans="1:6" x14ac:dyDescent="0.25">
      <c r="C93" s="3"/>
      <c r="D93" s="3"/>
      <c r="E93" s="3"/>
    </row>
    <row r="94" spans="1:6" x14ac:dyDescent="0.25">
      <c r="C94" s="3"/>
      <c r="D94" s="3"/>
      <c r="E94" s="3"/>
    </row>
    <row r="95" spans="1:6" x14ac:dyDescent="0.25">
      <c r="C95" s="3"/>
      <c r="D95" s="3"/>
      <c r="E95" s="3"/>
    </row>
    <row r="96" spans="1:6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</sheetData>
  <mergeCells count="1">
    <mergeCell ref="B2:F2"/>
  </mergeCells>
  <pageMargins left="0.7" right="0.7" top="0.75" bottom="0.75" header="0.3" footer="0.3"/>
  <pageSetup paperSize="9" scale="64" orientation="portrait" r:id="rId1"/>
  <rowBreaks count="1" manualBreakCount="1">
    <brk id="6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437"/>
  <sheetViews>
    <sheetView zoomScaleNormal="100" workbookViewId="0">
      <selection activeCell="F4" sqref="F4"/>
    </sheetView>
  </sheetViews>
  <sheetFormatPr defaultRowHeight="15" x14ac:dyDescent="0.25"/>
  <cols>
    <col min="2" max="2" width="50.71093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59</v>
      </c>
      <c r="B2" s="63" t="s">
        <v>60</v>
      </c>
      <c r="C2" s="63"/>
      <c r="D2" s="63"/>
      <c r="E2" s="63"/>
      <c r="F2" s="63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0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62</v>
      </c>
      <c r="B4" t="s">
        <v>108</v>
      </c>
      <c r="C4" s="3">
        <v>1000000</v>
      </c>
      <c r="D4" s="3">
        <v>1000000</v>
      </c>
      <c r="E4" s="3">
        <v>1000000</v>
      </c>
      <c r="F4" s="10">
        <f>E4/D4</f>
        <v>1</v>
      </c>
    </row>
    <row r="5" spans="1:12" s="4" customFormat="1" x14ac:dyDescent="0.25">
      <c r="A5" s="4" t="s">
        <v>9</v>
      </c>
      <c r="B5" s="4" t="s">
        <v>10</v>
      </c>
      <c r="C5" s="5">
        <f>SUM(C4:C4)</f>
        <v>1000000</v>
      </c>
      <c r="D5" s="5">
        <f>SUM(D4:D4)</f>
        <v>1000000</v>
      </c>
      <c r="E5" s="5">
        <f>SUM(E4:E4)</f>
        <v>1000000</v>
      </c>
      <c r="F5" s="11">
        <f>E5/D5</f>
        <v>1</v>
      </c>
    </row>
    <row r="6" spans="1:12" s="4" customFormat="1" x14ac:dyDescent="0.25">
      <c r="A6" s="4" t="s">
        <v>11</v>
      </c>
      <c r="B6" s="4" t="s">
        <v>12</v>
      </c>
      <c r="C6" s="5">
        <v>130000</v>
      </c>
      <c r="D6" s="5">
        <v>130000</v>
      </c>
      <c r="E6" s="5">
        <v>130000</v>
      </c>
      <c r="F6" s="11">
        <f t="shared" ref="F6" si="0">E6/D6</f>
        <v>1</v>
      </c>
    </row>
    <row r="7" spans="1:12" x14ac:dyDescent="0.25">
      <c r="B7" s="4"/>
      <c r="C7" s="3"/>
      <c r="D7" s="3"/>
      <c r="E7" s="3"/>
      <c r="F7" s="11"/>
    </row>
    <row r="8" spans="1:12" s="8" customFormat="1" ht="15.75" x14ac:dyDescent="0.25">
      <c r="B8" s="8" t="s">
        <v>27</v>
      </c>
      <c r="C8" s="9">
        <f>C6+C5</f>
        <v>1130000</v>
      </c>
      <c r="D8" s="9">
        <f>D6+D5</f>
        <v>1130000</v>
      </c>
      <c r="E8" s="9">
        <f>E6+E5</f>
        <v>1130000</v>
      </c>
      <c r="F8" s="11">
        <f t="shared" ref="F8" si="1">E8/D8</f>
        <v>1</v>
      </c>
    </row>
    <row r="9" spans="1:12" x14ac:dyDescent="0.25">
      <c r="C9" s="3"/>
      <c r="D9" s="3"/>
      <c r="E9" s="3"/>
    </row>
    <row r="10" spans="1:12" x14ac:dyDescent="0.25">
      <c r="C10" s="3"/>
      <c r="D10" s="3"/>
      <c r="E10" s="3"/>
    </row>
    <row r="11" spans="1:12" x14ac:dyDescent="0.25">
      <c r="C11" s="3"/>
      <c r="D11" s="3"/>
      <c r="E11" s="3"/>
    </row>
    <row r="12" spans="1:12" x14ac:dyDescent="0.25">
      <c r="C12" s="3"/>
      <c r="D12" s="3"/>
      <c r="E12" s="3"/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</sheetData>
  <mergeCells count="1">
    <mergeCell ref="B2:F2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443"/>
  <sheetViews>
    <sheetView zoomScaleNormal="100" workbookViewId="0">
      <selection activeCell="H32" sqref="H32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30</v>
      </c>
      <c r="B2" s="63" t="s">
        <v>31</v>
      </c>
      <c r="C2" s="63"/>
      <c r="D2" s="63"/>
      <c r="E2" s="63"/>
      <c r="F2" s="63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0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C4" s="3"/>
      <c r="D4" s="3"/>
      <c r="E4" s="3"/>
      <c r="F4" s="10"/>
    </row>
    <row r="5" spans="1:12" s="4" customFormat="1" x14ac:dyDescent="0.25">
      <c r="C5" s="5"/>
      <c r="D5" s="5"/>
      <c r="E5" s="5"/>
      <c r="F5" s="11"/>
    </row>
    <row r="6" spans="1:12" x14ac:dyDescent="0.25">
      <c r="B6" s="4"/>
      <c r="C6" s="3"/>
      <c r="D6" s="3"/>
      <c r="E6" s="3"/>
      <c r="F6" s="11"/>
    </row>
    <row r="7" spans="1:12" s="8" customFormat="1" ht="15.75" x14ac:dyDescent="0.25">
      <c r="B7" s="8" t="s">
        <v>27</v>
      </c>
      <c r="C7" s="9">
        <f>C5</f>
        <v>0</v>
      </c>
      <c r="D7" s="9">
        <f>D5</f>
        <v>0</v>
      </c>
      <c r="E7" s="9">
        <f>E5</f>
        <v>0</v>
      </c>
      <c r="F7" s="11"/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ht="15.75" x14ac:dyDescent="0.25">
      <c r="B10" s="30" t="s">
        <v>28</v>
      </c>
      <c r="C10" s="3"/>
      <c r="D10" s="3"/>
      <c r="E10" s="3"/>
    </row>
    <row r="11" spans="1:12" x14ac:dyDescent="0.25">
      <c r="C11" s="3"/>
      <c r="D11" s="3"/>
      <c r="E11" s="3"/>
      <c r="F11" s="11"/>
    </row>
    <row r="12" spans="1:12" x14ac:dyDescent="0.25">
      <c r="A12" t="s">
        <v>53</v>
      </c>
      <c r="B12" t="s">
        <v>54</v>
      </c>
      <c r="C12" s="3">
        <v>15000000</v>
      </c>
      <c r="D12" s="3">
        <f>15000000+4339139</f>
        <v>19339139</v>
      </c>
      <c r="E12" s="3">
        <v>19339139</v>
      </c>
      <c r="F12" s="11">
        <f t="shared" ref="F12:F14" si="0">E12/D12</f>
        <v>1</v>
      </c>
    </row>
    <row r="13" spans="1:12" x14ac:dyDescent="0.25">
      <c r="A13" t="s">
        <v>55</v>
      </c>
      <c r="B13" s="31" t="s">
        <v>56</v>
      </c>
      <c r="C13" s="3">
        <v>203073192</v>
      </c>
      <c r="D13" s="3">
        <v>199872282</v>
      </c>
      <c r="E13" s="3">
        <v>80483877</v>
      </c>
      <c r="F13" s="11">
        <f t="shared" si="0"/>
        <v>0.40267653020542388</v>
      </c>
    </row>
    <row r="14" spans="1:12" s="4" customFormat="1" x14ac:dyDescent="0.25">
      <c r="A14" s="4" t="s">
        <v>57</v>
      </c>
      <c r="B14" s="4" t="s">
        <v>58</v>
      </c>
      <c r="C14" s="5">
        <f>SUM(C12:C13)</f>
        <v>218073192</v>
      </c>
      <c r="D14" s="5">
        <f>SUM(D12:D13)</f>
        <v>219211421</v>
      </c>
      <c r="E14" s="5">
        <f>SUM(E12:E13)</f>
        <v>99823016</v>
      </c>
      <c r="F14" s="11">
        <f t="shared" si="0"/>
        <v>0.45537324444422994</v>
      </c>
    </row>
    <row r="15" spans="1:12" x14ac:dyDescent="0.25">
      <c r="C15" s="3"/>
      <c r="D15" s="3"/>
      <c r="E15" s="3"/>
      <c r="F15" s="11"/>
    </row>
    <row r="16" spans="1:12" s="8" customFormat="1" ht="15.75" x14ac:dyDescent="0.25">
      <c r="B16" s="8" t="s">
        <v>34</v>
      </c>
      <c r="C16" s="9">
        <f>SUM(C14)</f>
        <v>218073192</v>
      </c>
      <c r="D16" s="9">
        <f t="shared" ref="D16:E16" si="1">SUM(D14)</f>
        <v>219211421</v>
      </c>
      <c r="E16" s="9">
        <f t="shared" si="1"/>
        <v>99823016</v>
      </c>
      <c r="F16" s="11">
        <f t="shared" ref="F16" si="2">E16/D16</f>
        <v>0.45537324444422994</v>
      </c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Összesítő</vt:lpstr>
      <vt:lpstr>IGAZGATÁS, ADÓ, KÖZT.F.</vt:lpstr>
      <vt:lpstr>062020</vt:lpstr>
      <vt:lpstr>018030</vt:lpstr>
      <vt:lpstr>'IGAZGATÁS, ADÓ, KÖZT.F.'!Nyomtatási_terület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Éva Horváthné</dc:creator>
  <cp:lastModifiedBy>Rajcsicsné Hajni</cp:lastModifiedBy>
  <cp:lastPrinted>2025-08-21T09:21:29Z</cp:lastPrinted>
  <dcterms:created xsi:type="dcterms:W3CDTF">2024-05-17T07:19:03Z</dcterms:created>
  <dcterms:modified xsi:type="dcterms:W3CDTF">2025-09-03T11:58:27Z</dcterms:modified>
</cp:coreProperties>
</file>